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ortissemen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<sst xmlns="http://schemas.openxmlformats.org/spreadsheetml/2006/main" count="29" uniqueCount="29">
  <si>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Tableau d'amortissement — LMNP au régime réel</t>
  </si>
  <si>
    <t xml:space="preserve">Renseignez les cases jaunes. Les dotations et le tableau se calculent automatiquement.</t>
  </si>
  <si>
    <t xml:space="preserve">DONNÉES DU BIEN</t>
  </si>
  <si>
    <t xml:space="preserve">Prix d'acquisition du bien (€)</t>
  </si>
  <si>
    <t xml:space="preserve">Frais de notaire et d'agence activables (€)</t>
  </si>
  <si>
    <t xml:space="preserve">Quote-part du terrain (%)</t>
  </si>
  <si>
    <t xml:space="preserve">souvent 10 à 20 %</t>
  </si>
  <si>
    <t xml:space="preserve">Durée d'amortissement du bâti (années)</t>
  </si>
  <si>
    <t xml:space="preserve">~25 à 40 ans</t>
  </si>
  <si>
    <t xml:space="preserve">Valeur du mobilier (€)</t>
  </si>
  <si>
    <t xml:space="preserve">Durée d'amortissement du mobilier (années)</t>
  </si>
  <si>
    <t xml:space="preserve">5 à 10 ans</t>
  </si>
  <si>
    <t xml:space="preserve">Montant des travaux activables (€)</t>
  </si>
  <si>
    <t xml:space="preserve">Durée d'amortissement des travaux (années)</t>
  </si>
  <si>
    <t xml:space="preserve">10 à 20 ans</t>
  </si>
  <si>
    <t xml:space="preserve">RÉSULTATS</t>
  </si>
  <si>
    <t xml:space="preserve">Base amortissable du bâti (€)</t>
  </si>
  <si>
    <t xml:space="preserve">Dotation annuelle — bâti (€)</t>
  </si>
  <si>
    <t xml:space="preserve">Dotation annuelle — mobilier (€)</t>
  </si>
  <si>
    <t xml:space="preserve">Dotation annuelle — travaux (€)</t>
  </si>
  <si>
    <t xml:space="preserve">Dotation totale (année pleine) (€)</t>
  </si>
  <si>
    <t xml:space="preserve">TABLEAU D'AMORTISSEMENT (25 ans)</t>
  </si>
  <si>
    <t xml:space="preserve">Année</t>
  </si>
  <si>
    <t xml:space="preserve">Dotation bâti</t>
  </si>
  <si>
    <t xml:space="preserve">Dotation mobilier</t>
  </si>
  <si>
    <t xml:space="preserve">Dotation travaux</t>
  </si>
  <si>
    <t xml:space="preserve">Dotation totale</t>
  </si>
  <si>
    <t xml:space="preserve">Cumul</t>
  </si>
  <si>
    <t xml:space="preserve">Modèle indicatif. L'amortissement ne peut pas créer de déficit ; la fraction non déduite est reportable sans limite. À adapter avec votre expert-comptable.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</si>
</sst>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€&quot;"/>
    <numFmt numFmtId="166" formatCode="0\ %"/>
    <numFmt numFmtId="167" formatCode="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A2148"/>
      <name val="Calibri"/>
      <family val="0"/>
      <charset val="1"/>
    </font>
    <font>
      <i val="true"/>
      <sz val="10"/>
      <color rgb="FF8A94A3"/>
      <name val="Calibri"/>
      <family val="0"/>
      <charset val="1"/>
    </font>
    <font>
      <b val="true"/>
      <sz val="11"/>
      <color rgb="FFC9A227"/>
      <name val="Calibri"/>
      <family val="0"/>
      <charset val="1"/>
    </font>
    <font>
      <b val="true"/>
      <sz val="11"/>
      <color rgb="FF0A2148"/>
      <name val="Calibri"/>
      <family val="0"/>
      <charset val="1"/>
    </font>
    <font>
      <b val="true"/>
      <sz val="11"/>
      <color rgb="FF0000CC"/>
      <name val="Calibri"/>
      <family val="0"/>
      <charset val="1"/>
    </font>
    <font>
      <i val="true"/>
      <sz val="9"/>
      <color rgb="FF8A94A3"/>
      <name val="Calibri"/>
      <family val="0"/>
      <charset val="1"/>
    </font>
    <font>
      <sz val="11"/>
      <color rgb="FF1F2A3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A2148"/>
      <name val="Calibri"/>
      <family val="0"/>
      <charset val="1"/>
    </font>
    <font>
      <sz val="10"/>
      <color rgb="FF1F2A37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7D6"/>
        <bgColor rgb="FFFBF3D8"/>
      </patternFill>
    </fill>
    <fill>
      <patternFill patternType="solid">
        <fgColor rgb="FFFBF3D8"/>
        <bgColor rgb="FFFFF7D6"/>
      </patternFill>
    </fill>
    <fill>
      <patternFill patternType="solid">
        <fgColor rgb="FF0A2148"/>
        <bgColor rgb="FF1F2A37"/>
      </patternFill>
    </fill>
    <fill>
      <patternFill patternType="solid">
        <fgColor rgb="FFF4F7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EE7"/>
      </left>
      <right style="thin">
        <color rgb="FFD9DEE7"/>
      </right>
      <top style="thin">
        <color rgb="FFD9DEE7"/>
      </top>
      <bottom style="thin">
        <color rgb="FFD9DEE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D6"/>
      <rgbColor rgb="FFF4F7FB"/>
      <rgbColor rgb="FF660066"/>
      <rgbColor rgb="FFFF8080"/>
      <rgbColor rgb="FF0066CC"/>
      <rgbColor rgb="FFD9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F3D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227"/>
      <rgbColor rgb="FFFF6600"/>
      <rgbColor rgb="FF666699"/>
      <rgbColor rgb="FF8A94A3"/>
      <rgbColor rgb="FF0A2148"/>
      <rgbColor rgb="FF339966"/>
      <rgbColor rgb="FF003300"/>
      <rgbColor rgb="FF333300"/>
      <rgbColor rgb="FF993300"/>
      <rgbColor rgb="FF993366"/>
      <rgbColor rgb="FF333399"/>
      <rgbColor rgb="FF1F2A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6"/>
    <col collapsed="false" customWidth="true" hidden="false" outlineLevel="0" max="7" min="3" style="0" width="16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15" hidden="false" customHeight="false" outlineLevel="0" collapsed="false">
      <c r="B6" s="4" t="s">
        <v>3</v>
      </c>
      <c r="C6" s="5" t="n">
        <v>180000</v>
      </c>
    </row>
    <row r="7" customFormat="false" ht="15" hidden="false" customHeight="false" outlineLevel="0" collapsed="false">
      <c r="B7" s="4" t="s">
        <v>4</v>
      </c>
      <c r="C7" s="5" t="n">
        <v>14000</v>
      </c>
    </row>
    <row r="8" customFormat="false" ht="15" hidden="false" customHeight="false" outlineLevel="0" collapsed="false">
      <c r="B8" s="4" t="s">
        <v>5</v>
      </c>
      <c r="C8" s="6" t="n">
        <v>0.15</v>
      </c>
      <c r="D8" s="7" t="s">
        <v>6</v>
      </c>
    </row>
    <row r="9" customFormat="false" ht="15" hidden="false" customHeight="false" outlineLevel="0" collapsed="false">
      <c r="B9" s="4" t="s">
        <v>7</v>
      </c>
      <c r="C9" s="8" t="n">
        <v>30</v>
      </c>
      <c r="D9" s="7" t="s">
        <v>8</v>
      </c>
    </row>
    <row r="10" customFormat="false" ht="15" hidden="false" customHeight="false" outlineLevel="0" collapsed="false">
      <c r="B10" s="4" t="s">
        <v>9</v>
      </c>
      <c r="C10" s="5" t="n">
        <v>8000</v>
      </c>
    </row>
    <row r="11" customFormat="false" ht="15" hidden="false" customHeight="false" outlineLevel="0" collapsed="false">
      <c r="B11" s="4" t="s">
        <v>10</v>
      </c>
      <c r="C11" s="8" t="n">
        <v>7</v>
      </c>
      <c r="D11" s="7" t="s">
        <v>11</v>
      </c>
    </row>
    <row r="12" customFormat="false" ht="15" hidden="false" customHeight="false" outlineLevel="0" collapsed="false">
      <c r="B12" s="4" t="s">
        <v>12</v>
      </c>
      <c r="C12" s="5" t="n">
        <v>0</v>
      </c>
    </row>
    <row r="13" customFormat="false" ht="15" hidden="false" customHeight="false" outlineLevel="0" collapsed="false">
      <c r="B13" s="4" t="s">
        <v>13</v>
      </c>
      <c r="C13" s="8" t="n">
        <v>15</v>
      </c>
      <c r="D13" s="7" t="s">
        <v>14</v>
      </c>
    </row>
    <row r="15" customFormat="false" ht="15" hidden="false" customHeight="false" outlineLevel="0" collapsed="false">
      <c r="B15" s="3" t="s">
        <v>15</v>
      </c>
    </row>
    <row r="16" customFormat="false" ht="15" hidden="false" customHeight="false" outlineLevel="0" collapsed="false">
      <c r="B16" s="9" t="s">
        <v>16</v>
      </c>
      <c r="C16" s="10" t="n">
        <f aca="false">(C6+C7)*(1-C8)</f>
        <v>164900</v>
      </c>
    </row>
    <row r="17" customFormat="false" ht="15" hidden="false" customHeight="false" outlineLevel="0" collapsed="false">
      <c r="B17" s="9" t="s">
        <v>17</v>
      </c>
      <c r="C17" s="10" t="n">
        <f aca="false">C16/C9</f>
        <v>5496.66666666667</v>
      </c>
    </row>
    <row r="18" customFormat="false" ht="15" hidden="false" customHeight="false" outlineLevel="0" collapsed="false">
      <c r="B18" s="9" t="s">
        <v>18</v>
      </c>
      <c r="C18" s="10" t="n">
        <f aca="false">C10/C11</f>
        <v>1142.85714285714</v>
      </c>
    </row>
    <row r="19" customFormat="false" ht="15" hidden="false" customHeight="false" outlineLevel="0" collapsed="false">
      <c r="B19" s="9" t="s">
        <v>19</v>
      </c>
      <c r="C19" s="10" t="n">
        <f aca="false">IF(C13=0,0,C12/C13)</f>
        <v>0</v>
      </c>
    </row>
    <row r="20" customFormat="false" ht="15" hidden="false" customHeight="false" outlineLevel="0" collapsed="false">
      <c r="B20" s="4" t="s">
        <v>20</v>
      </c>
      <c r="C20" s="11" t="n">
        <f aca="false">C17+C18+C19</f>
        <v>6639.52380952381</v>
      </c>
    </row>
    <row r="22" customFormat="false" ht="15" hidden="false" customHeight="false" outlineLevel="0" collapsed="false">
      <c r="B22" s="3" t="s">
        <v>21</v>
      </c>
    </row>
    <row r="23" customFormat="false" ht="15" hidden="false" customHeight="false" outlineLevel="0" collapsed="false">
      <c r="B23" s="12" t="s">
        <v>22</v>
      </c>
      <c r="C23" s="12" t="s">
        <v>23</v>
      </c>
      <c r="D23" s="12" t="s">
        <v>24</v>
      </c>
      <c r="E23" s="12" t="s">
        <v>25</v>
      </c>
      <c r="F23" s="12" t="s">
        <v>26</v>
      </c>
      <c r="G23" s="12" t="s">
        <v>27</v>
      </c>
    </row>
    <row r="24" customFormat="false" ht="15" hidden="false" customHeight="false" outlineLevel="0" collapsed="false">
      <c r="B24" s="13" t="n">
        <v>1</v>
      </c>
      <c r="C24" s="14" t="n">
        <f aca="false">IF(1&lt;=$C$9,$C$17,0)</f>
        <v>5496.66666666667</v>
      </c>
      <c r="D24" s="14" t="n">
        <f aca="false">IF(1&lt;=$C$11,$C$18,0)</f>
        <v>1142.85714285714</v>
      </c>
      <c r="E24" s="14" t="n">
        <f aca="false">IF(AND($C$13&gt;0,1&lt;=$C$13),$C$19,0)</f>
        <v>0</v>
      </c>
      <c r="F24" s="14" t="n">
        <f aca="false">SUM(C24:E24)</f>
        <v>6639.52380952381</v>
      </c>
      <c r="G24" s="14" t="n">
        <f aca="false">F24</f>
        <v>6639.52380952381</v>
      </c>
    </row>
    <row r="25" customFormat="false" ht="15" hidden="false" customHeight="false" outlineLevel="0" collapsed="false">
      <c r="B25" s="15" t="n">
        <v>2</v>
      </c>
      <c r="C25" s="16" t="n">
        <f aca="false">IF(2&lt;=$C$9,$C$17,0)</f>
        <v>5496.66666666667</v>
      </c>
      <c r="D25" s="16" t="n">
        <f aca="false">IF(2&lt;=$C$11,$C$18,0)</f>
        <v>1142.85714285714</v>
      </c>
      <c r="E25" s="16" t="n">
        <f aca="false">IF(AND($C$13&gt;0,2&lt;=$C$13),$C$19,0)</f>
        <v>0</v>
      </c>
      <c r="F25" s="16" t="n">
        <f aca="false">SUM(C25:E25)</f>
        <v>6639.52380952381</v>
      </c>
      <c r="G25" s="16" t="n">
        <f aca="false">G24+F25</f>
        <v>13279.0476190476</v>
      </c>
    </row>
    <row r="26" customFormat="false" ht="15" hidden="false" customHeight="false" outlineLevel="0" collapsed="false">
      <c r="B26" s="13" t="n">
        <v>3</v>
      </c>
      <c r="C26" s="14" t="n">
        <f aca="false">IF(3&lt;=$C$9,$C$17,0)</f>
        <v>5496.66666666667</v>
      </c>
      <c r="D26" s="14" t="n">
        <f aca="false">IF(3&lt;=$C$11,$C$18,0)</f>
        <v>1142.85714285714</v>
      </c>
      <c r="E26" s="14" t="n">
        <f aca="false">IF(AND($C$13&gt;0,3&lt;=$C$13),$C$19,0)</f>
        <v>0</v>
      </c>
      <c r="F26" s="14" t="n">
        <f aca="false">SUM(C26:E26)</f>
        <v>6639.52380952381</v>
      </c>
      <c r="G26" s="14" t="n">
        <f aca="false">G25+F26</f>
        <v>19918.5714285714</v>
      </c>
    </row>
    <row r="27" customFormat="false" ht="15" hidden="false" customHeight="false" outlineLevel="0" collapsed="false">
      <c r="B27" s="15" t="n">
        <v>4</v>
      </c>
      <c r="C27" s="16" t="n">
        <f aca="false">IF(4&lt;=$C$9,$C$17,0)</f>
        <v>5496.66666666667</v>
      </c>
      <c r="D27" s="16" t="n">
        <f aca="false">IF(4&lt;=$C$11,$C$18,0)</f>
        <v>1142.85714285714</v>
      </c>
      <c r="E27" s="16" t="n">
        <f aca="false">IF(AND($C$13&gt;0,4&lt;=$C$13),$C$19,0)</f>
        <v>0</v>
      </c>
      <c r="F27" s="16" t="n">
        <f aca="false">SUM(C27:E27)</f>
        <v>6639.52380952381</v>
      </c>
      <c r="G27" s="16" t="n">
        <f aca="false">G26+F27</f>
        <v>26558.0952380952</v>
      </c>
    </row>
    <row r="28" customFormat="false" ht="15" hidden="false" customHeight="false" outlineLevel="0" collapsed="false">
      <c r="B28" s="13" t="n">
        <v>5</v>
      </c>
      <c r="C28" s="14" t="n">
        <f aca="false">IF(5&lt;=$C$9,$C$17,0)</f>
        <v>5496.66666666667</v>
      </c>
      <c r="D28" s="14" t="n">
        <f aca="false">IF(5&lt;=$C$11,$C$18,0)</f>
        <v>1142.85714285714</v>
      </c>
      <c r="E28" s="14" t="n">
        <f aca="false">IF(AND($C$13&gt;0,5&lt;=$C$13),$C$19,0)</f>
        <v>0</v>
      </c>
      <c r="F28" s="14" t="n">
        <f aca="false">SUM(C28:E28)</f>
        <v>6639.52380952381</v>
      </c>
      <c r="G28" s="14" t="n">
        <f aca="false">G27+F28</f>
        <v>33197.6190476191</v>
      </c>
    </row>
    <row r="29" customFormat="false" ht="15" hidden="false" customHeight="false" outlineLevel="0" collapsed="false">
      <c r="B29" s="15" t="n">
        <v>6</v>
      </c>
      <c r="C29" s="16" t="n">
        <f aca="false">IF(6&lt;=$C$9,$C$17,0)</f>
        <v>5496.66666666667</v>
      </c>
      <c r="D29" s="16" t="n">
        <f aca="false">IF(6&lt;=$C$11,$C$18,0)</f>
        <v>1142.85714285714</v>
      </c>
      <c r="E29" s="16" t="n">
        <f aca="false">IF(AND($C$13&gt;0,6&lt;=$C$13),$C$19,0)</f>
        <v>0</v>
      </c>
      <c r="F29" s="16" t="n">
        <f aca="false">SUM(C29:E29)</f>
        <v>6639.52380952381</v>
      </c>
      <c r="G29" s="16" t="n">
        <f aca="false">G28+F29</f>
        <v>39837.1428571429</v>
      </c>
    </row>
    <row r="30" customFormat="false" ht="15" hidden="false" customHeight="false" outlineLevel="0" collapsed="false">
      <c r="B30" s="13" t="n">
        <v>7</v>
      </c>
      <c r="C30" s="14" t="n">
        <f aca="false">IF(7&lt;=$C$9,$C$17,0)</f>
        <v>5496.66666666667</v>
      </c>
      <c r="D30" s="14" t="n">
        <f aca="false">IF(7&lt;=$C$11,$C$18,0)</f>
        <v>1142.85714285714</v>
      </c>
      <c r="E30" s="14" t="n">
        <f aca="false">IF(AND($C$13&gt;0,7&lt;=$C$13),$C$19,0)</f>
        <v>0</v>
      </c>
      <c r="F30" s="14" t="n">
        <f aca="false">SUM(C30:E30)</f>
        <v>6639.52380952381</v>
      </c>
      <c r="G30" s="14" t="n">
        <f aca="false">G29+F30</f>
        <v>46476.6666666667</v>
      </c>
    </row>
    <row r="31" customFormat="false" ht="15" hidden="false" customHeight="false" outlineLevel="0" collapsed="false">
      <c r="B31" s="15" t="n">
        <v>8</v>
      </c>
      <c r="C31" s="16" t="n">
        <f aca="false">IF(8&lt;=$C$9,$C$17,0)</f>
        <v>5496.66666666667</v>
      </c>
      <c r="D31" s="16" t="n">
        <f aca="false">IF(8&lt;=$C$11,$C$18,0)</f>
        <v>0</v>
      </c>
      <c r="E31" s="16" t="n">
        <f aca="false">IF(AND($C$13&gt;0,8&lt;=$C$13),$C$19,0)</f>
        <v>0</v>
      </c>
      <c r="F31" s="16" t="n">
        <f aca="false">SUM(C31:E31)</f>
        <v>5496.66666666667</v>
      </c>
      <c r="G31" s="16" t="n">
        <f aca="false">G30+F31</f>
        <v>51973.3333333333</v>
      </c>
    </row>
    <row r="32" customFormat="false" ht="15" hidden="false" customHeight="false" outlineLevel="0" collapsed="false">
      <c r="B32" s="13" t="n">
        <v>9</v>
      </c>
      <c r="C32" s="14" t="n">
        <f aca="false">IF(9&lt;=$C$9,$C$17,0)</f>
        <v>5496.66666666667</v>
      </c>
      <c r="D32" s="14" t="n">
        <f aca="false">IF(9&lt;=$C$11,$C$18,0)</f>
        <v>0</v>
      </c>
      <c r="E32" s="14" t="n">
        <f aca="false">IF(AND($C$13&gt;0,9&lt;=$C$13),$C$19,0)</f>
        <v>0</v>
      </c>
      <c r="F32" s="14" t="n">
        <f aca="false">SUM(C32:E32)</f>
        <v>5496.66666666667</v>
      </c>
      <c r="G32" s="14" t="n">
        <f aca="false">G31+F32</f>
        <v>57470</v>
      </c>
    </row>
    <row r="33" customFormat="false" ht="15" hidden="false" customHeight="false" outlineLevel="0" collapsed="false">
      <c r="B33" s="15" t="n">
        <v>10</v>
      </c>
      <c r="C33" s="16" t="n">
        <f aca="false">IF(10&lt;=$C$9,$C$17,0)</f>
        <v>5496.66666666667</v>
      </c>
      <c r="D33" s="16" t="n">
        <f aca="false">IF(10&lt;=$C$11,$C$18,0)</f>
        <v>0</v>
      </c>
      <c r="E33" s="16" t="n">
        <f aca="false">IF(AND($C$13&gt;0,10&lt;=$C$13),$C$19,0)</f>
        <v>0</v>
      </c>
      <c r="F33" s="16" t="n">
        <f aca="false">SUM(C33:E33)</f>
        <v>5496.66666666667</v>
      </c>
      <c r="G33" s="16" t="n">
        <f aca="false">G32+F33</f>
        <v>62966.6666666667</v>
      </c>
    </row>
    <row r="34" customFormat="false" ht="15" hidden="false" customHeight="false" outlineLevel="0" collapsed="false">
      <c r="B34" s="13" t="n">
        <v>11</v>
      </c>
      <c r="C34" s="14" t="n">
        <f aca="false">IF(11&lt;=$C$9,$C$17,0)</f>
        <v>5496.66666666667</v>
      </c>
      <c r="D34" s="14" t="n">
        <f aca="false">IF(11&lt;=$C$11,$C$18,0)</f>
        <v>0</v>
      </c>
      <c r="E34" s="14" t="n">
        <f aca="false">IF(AND($C$13&gt;0,11&lt;=$C$13),$C$19,0)</f>
        <v>0</v>
      </c>
      <c r="F34" s="14" t="n">
        <f aca="false">SUM(C34:E34)</f>
        <v>5496.66666666667</v>
      </c>
      <c r="G34" s="14" t="n">
        <f aca="false">G33+F34</f>
        <v>68463.3333333333</v>
      </c>
    </row>
    <row r="35" customFormat="false" ht="15" hidden="false" customHeight="false" outlineLevel="0" collapsed="false">
      <c r="B35" s="15" t="n">
        <v>12</v>
      </c>
      <c r="C35" s="16" t="n">
        <f aca="false">IF(12&lt;=$C$9,$C$17,0)</f>
        <v>5496.66666666667</v>
      </c>
      <c r="D35" s="16" t="n">
        <f aca="false">IF(12&lt;=$C$11,$C$18,0)</f>
        <v>0</v>
      </c>
      <c r="E35" s="16" t="n">
        <f aca="false">IF(AND($C$13&gt;0,12&lt;=$C$13),$C$19,0)</f>
        <v>0</v>
      </c>
      <c r="F35" s="16" t="n">
        <f aca="false">SUM(C35:E35)</f>
        <v>5496.66666666667</v>
      </c>
      <c r="G35" s="16" t="n">
        <f aca="false">G34+F35</f>
        <v>73960</v>
      </c>
    </row>
    <row r="36" customFormat="false" ht="15" hidden="false" customHeight="false" outlineLevel="0" collapsed="false">
      <c r="B36" s="13" t="n">
        <v>13</v>
      </c>
      <c r="C36" s="14" t="n">
        <f aca="false">IF(13&lt;=$C$9,$C$17,0)</f>
        <v>5496.66666666667</v>
      </c>
      <c r="D36" s="14" t="n">
        <f aca="false">IF(13&lt;=$C$11,$C$18,0)</f>
        <v>0</v>
      </c>
      <c r="E36" s="14" t="n">
        <f aca="false">IF(AND($C$13&gt;0,13&lt;=$C$13),$C$19,0)</f>
        <v>0</v>
      </c>
      <c r="F36" s="14" t="n">
        <f aca="false">SUM(C36:E36)</f>
        <v>5496.66666666667</v>
      </c>
      <c r="G36" s="14" t="n">
        <f aca="false">G35+F36</f>
        <v>79456.6666666667</v>
      </c>
    </row>
    <row r="37" customFormat="false" ht="15" hidden="false" customHeight="false" outlineLevel="0" collapsed="false">
      <c r="B37" s="15" t="n">
        <v>14</v>
      </c>
      <c r="C37" s="16" t="n">
        <f aca="false">IF(14&lt;=$C$9,$C$17,0)</f>
        <v>5496.66666666667</v>
      </c>
      <c r="D37" s="16" t="n">
        <f aca="false">IF(14&lt;=$C$11,$C$18,0)</f>
        <v>0</v>
      </c>
      <c r="E37" s="16" t="n">
        <f aca="false">IF(AND($C$13&gt;0,14&lt;=$C$13),$C$19,0)</f>
        <v>0</v>
      </c>
      <c r="F37" s="16" t="n">
        <f aca="false">SUM(C37:E37)</f>
        <v>5496.66666666667</v>
      </c>
      <c r="G37" s="16" t="n">
        <f aca="false">G36+F37</f>
        <v>84953.3333333333</v>
      </c>
    </row>
    <row r="38" customFormat="false" ht="15" hidden="false" customHeight="false" outlineLevel="0" collapsed="false">
      <c r="B38" s="13" t="n">
        <v>15</v>
      </c>
      <c r="C38" s="14" t="n">
        <f aca="false">IF(15&lt;=$C$9,$C$17,0)</f>
        <v>5496.66666666667</v>
      </c>
      <c r="D38" s="14" t="n">
        <f aca="false">IF(15&lt;=$C$11,$C$18,0)</f>
        <v>0</v>
      </c>
      <c r="E38" s="14" t="n">
        <f aca="false">IF(AND($C$13&gt;0,15&lt;=$C$13),$C$19,0)</f>
        <v>0</v>
      </c>
      <c r="F38" s="14" t="n">
        <f aca="false">SUM(C38:E38)</f>
        <v>5496.66666666667</v>
      </c>
      <c r="G38" s="14" t="n">
        <f aca="false">G37+F38</f>
        <v>90450</v>
      </c>
    </row>
    <row r="39" customFormat="false" ht="15" hidden="false" customHeight="false" outlineLevel="0" collapsed="false">
      <c r="B39" s="15" t="n">
        <v>16</v>
      </c>
      <c r="C39" s="16" t="n">
        <f aca="false">IF(16&lt;=$C$9,$C$17,0)</f>
        <v>5496.66666666667</v>
      </c>
      <c r="D39" s="16" t="n">
        <f aca="false">IF(16&lt;=$C$11,$C$18,0)</f>
        <v>0</v>
      </c>
      <c r="E39" s="16" t="n">
        <f aca="false">IF(AND($C$13&gt;0,16&lt;=$C$13),$C$19,0)</f>
        <v>0</v>
      </c>
      <c r="F39" s="16" t="n">
        <f aca="false">SUM(C39:E39)</f>
        <v>5496.66666666667</v>
      </c>
      <c r="G39" s="16" t="n">
        <f aca="false">G38+F39</f>
        <v>95946.6666666667</v>
      </c>
    </row>
    <row r="40" customFormat="false" ht="15" hidden="false" customHeight="false" outlineLevel="0" collapsed="false">
      <c r="B40" s="13" t="n">
        <v>17</v>
      </c>
      <c r="C40" s="14" t="n">
        <f aca="false">IF(17&lt;=$C$9,$C$17,0)</f>
        <v>5496.66666666667</v>
      </c>
      <c r="D40" s="14" t="n">
        <f aca="false">IF(17&lt;=$C$11,$C$18,0)</f>
        <v>0</v>
      </c>
      <c r="E40" s="14" t="n">
        <f aca="false">IF(AND($C$13&gt;0,17&lt;=$C$13),$C$19,0)</f>
        <v>0</v>
      </c>
      <c r="F40" s="14" t="n">
        <f aca="false">SUM(C40:E40)</f>
        <v>5496.66666666667</v>
      </c>
      <c r="G40" s="14" t="n">
        <f aca="false">G39+F40</f>
        <v>101443.333333333</v>
      </c>
    </row>
    <row r="41" customFormat="false" ht="15" hidden="false" customHeight="false" outlineLevel="0" collapsed="false">
      <c r="B41" s="15" t="n">
        <v>18</v>
      </c>
      <c r="C41" s="16" t="n">
        <f aca="false">IF(18&lt;=$C$9,$C$17,0)</f>
        <v>5496.66666666667</v>
      </c>
      <c r="D41" s="16" t="n">
        <f aca="false">IF(18&lt;=$C$11,$C$18,0)</f>
        <v>0</v>
      </c>
      <c r="E41" s="16" t="n">
        <f aca="false">IF(AND($C$13&gt;0,18&lt;=$C$13),$C$19,0)</f>
        <v>0</v>
      </c>
      <c r="F41" s="16" t="n">
        <f aca="false">SUM(C41:E41)</f>
        <v>5496.66666666667</v>
      </c>
      <c r="G41" s="16" t="n">
        <f aca="false">G40+F41</f>
        <v>106940</v>
      </c>
    </row>
    <row r="42" customFormat="false" ht="15" hidden="false" customHeight="false" outlineLevel="0" collapsed="false">
      <c r="B42" s="13" t="n">
        <v>19</v>
      </c>
      <c r="C42" s="14" t="n">
        <f aca="false">IF(19&lt;=$C$9,$C$17,0)</f>
        <v>5496.66666666667</v>
      </c>
      <c r="D42" s="14" t="n">
        <f aca="false">IF(19&lt;=$C$11,$C$18,0)</f>
        <v>0</v>
      </c>
      <c r="E42" s="14" t="n">
        <f aca="false">IF(AND($C$13&gt;0,19&lt;=$C$13),$C$19,0)</f>
        <v>0</v>
      </c>
      <c r="F42" s="14" t="n">
        <f aca="false">SUM(C42:E42)</f>
        <v>5496.66666666667</v>
      </c>
      <c r="G42" s="14" t="n">
        <f aca="false">G41+F42</f>
        <v>112436.666666667</v>
      </c>
    </row>
    <row r="43" customFormat="false" ht="15" hidden="false" customHeight="false" outlineLevel="0" collapsed="false">
      <c r="B43" s="15" t="n">
        <v>20</v>
      </c>
      <c r="C43" s="16" t="n">
        <f aca="false">IF(20&lt;=$C$9,$C$17,0)</f>
        <v>5496.66666666667</v>
      </c>
      <c r="D43" s="16" t="n">
        <f aca="false">IF(20&lt;=$C$11,$C$18,0)</f>
        <v>0</v>
      </c>
      <c r="E43" s="16" t="n">
        <f aca="false">IF(AND($C$13&gt;0,20&lt;=$C$13),$C$19,0)</f>
        <v>0</v>
      </c>
      <c r="F43" s="16" t="n">
        <f aca="false">SUM(C43:E43)</f>
        <v>5496.66666666667</v>
      </c>
      <c r="G43" s="16" t="n">
        <f aca="false">G42+F43</f>
        <v>117933.333333333</v>
      </c>
    </row>
    <row r="44" customFormat="false" ht="15" hidden="false" customHeight="false" outlineLevel="0" collapsed="false">
      <c r="B44" s="13" t="n">
        <v>21</v>
      </c>
      <c r="C44" s="14" t="n">
        <f aca="false">IF(21&lt;=$C$9,$C$17,0)</f>
        <v>5496.66666666667</v>
      </c>
      <c r="D44" s="14" t="n">
        <f aca="false">IF(21&lt;=$C$11,$C$18,0)</f>
        <v>0</v>
      </c>
      <c r="E44" s="14" t="n">
        <f aca="false">IF(AND($C$13&gt;0,21&lt;=$C$13),$C$19,0)</f>
        <v>0</v>
      </c>
      <c r="F44" s="14" t="n">
        <f aca="false">SUM(C44:E44)</f>
        <v>5496.66666666667</v>
      </c>
      <c r="G44" s="14" t="n">
        <f aca="false">G43+F44</f>
        <v>123430</v>
      </c>
    </row>
    <row r="45" customFormat="false" ht="15" hidden="false" customHeight="false" outlineLevel="0" collapsed="false">
      <c r="B45" s="15" t="n">
        <v>22</v>
      </c>
      <c r="C45" s="16" t="n">
        <f aca="false">IF(22&lt;=$C$9,$C$17,0)</f>
        <v>5496.66666666667</v>
      </c>
      <c r="D45" s="16" t="n">
        <f aca="false">IF(22&lt;=$C$11,$C$18,0)</f>
        <v>0</v>
      </c>
      <c r="E45" s="16" t="n">
        <f aca="false">IF(AND($C$13&gt;0,22&lt;=$C$13),$C$19,0)</f>
        <v>0</v>
      </c>
      <c r="F45" s="16" t="n">
        <f aca="false">SUM(C45:E45)</f>
        <v>5496.66666666667</v>
      </c>
      <c r="G45" s="16" t="n">
        <f aca="false">G44+F45</f>
        <v>128926.666666667</v>
      </c>
    </row>
    <row r="46" customFormat="false" ht="15" hidden="false" customHeight="false" outlineLevel="0" collapsed="false">
      <c r="B46" s="13" t="n">
        <v>23</v>
      </c>
      <c r="C46" s="14" t="n">
        <f aca="false">IF(23&lt;=$C$9,$C$17,0)</f>
        <v>5496.66666666667</v>
      </c>
      <c r="D46" s="14" t="n">
        <f aca="false">IF(23&lt;=$C$11,$C$18,0)</f>
        <v>0</v>
      </c>
      <c r="E46" s="14" t="n">
        <f aca="false">IF(AND($C$13&gt;0,23&lt;=$C$13),$C$19,0)</f>
        <v>0</v>
      </c>
      <c r="F46" s="14" t="n">
        <f aca="false">SUM(C46:E46)</f>
        <v>5496.66666666667</v>
      </c>
      <c r="G46" s="14" t="n">
        <f aca="false">G45+F46</f>
        <v>134423.333333333</v>
      </c>
    </row>
    <row r="47" customFormat="false" ht="15" hidden="false" customHeight="false" outlineLevel="0" collapsed="false">
      <c r="B47" s="15" t="n">
        <v>24</v>
      </c>
      <c r="C47" s="16" t="n">
        <f aca="false">IF(24&lt;=$C$9,$C$17,0)</f>
        <v>5496.66666666667</v>
      </c>
      <c r="D47" s="16" t="n">
        <f aca="false">IF(24&lt;=$C$11,$C$18,0)</f>
        <v>0</v>
      </c>
      <c r="E47" s="16" t="n">
        <f aca="false">IF(AND($C$13&gt;0,24&lt;=$C$13),$C$19,0)</f>
        <v>0</v>
      </c>
      <c r="F47" s="16" t="n">
        <f aca="false">SUM(C47:E47)</f>
        <v>5496.66666666667</v>
      </c>
      <c r="G47" s="16" t="n">
        <f aca="false">G46+F47</f>
        <v>139920</v>
      </c>
    </row>
    <row r="48" customFormat="false" ht="15" hidden="false" customHeight="false" outlineLevel="0" collapsed="false">
      <c r="B48" s="13" t="n">
        <v>25</v>
      </c>
      <c r="C48" s="14" t="n">
        <f aca="false">IF(25&lt;=$C$9,$C$17,0)</f>
        <v>5496.66666666667</v>
      </c>
      <c r="D48" s="14" t="n">
        <f aca="false">IF(25&lt;=$C$11,$C$18,0)</f>
        <v>0</v>
      </c>
      <c r="E48" s="14" t="n">
        <f aca="false">IF(AND($C$13&gt;0,25&lt;=$C$13),$C$19,0)</f>
        <v>0</v>
      </c>
      <c r="F48" s="14" t="n">
        <f aca="false">SUM(C48:E48)</f>
        <v>5496.66666666667</v>
      </c>
      <c r="G48" s="14" t="n">
        <f aca="false">G47+F48</f>
        <v>145416.666666667</v>
      </c>
    </row>
    <row r="50" customFormat="false" ht="15" hidden="false" customHeight="false" outlineLevel="0" collapsed="false">
      <c r="B50" s="7" t="s">
        <v>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2026-07-22T13:44:44Z</dcterms:created>
  <dc:creator>openpyxl</dc:creator>
  <dc:description/>
  <dc:language>en-US</dc:language>
  <cp:lastModifiedBy/>
  <dcterms:modified xsi:type="dcterms:W3CDTF">2026-07-22T13:44:44Z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